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otsiaalministeerium.ee\dfs\KasutajadSKA\Lagle.Kalberg\Documents\2026 eelarve\"/>
    </mc:Choice>
  </mc:AlternateContent>
  <xr:revisionPtr revIDLastSave="0" documentId="13_ncr:1_{BC5CAF35-02C7-434A-A0CD-B6EDD215ED9D}" xr6:coauthVersionLast="47" xr6:coauthVersionMax="47" xr10:uidLastSave="{00000000-0000-0000-0000-000000000000}"/>
  <bookViews>
    <workbookView xWindow="19090" yWindow="-110" windowWidth="19420" windowHeight="11500" xr2:uid="{9797808D-2026-4A50-B554-765773DC3842}"/>
  </bookViews>
  <sheets>
    <sheet name="tulemus" sheetId="2" r:id="rId1"/>
    <sheet name="erf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63" i="2" l="1"/>
  <c r="C10" i="2"/>
  <c r="C11" i="2" s="1"/>
  <c r="C12" i="2" s="1"/>
  <c r="D10" i="2"/>
  <c r="D11" i="2" s="1"/>
  <c r="D12" i="2" s="1"/>
  <c r="E10" i="2"/>
  <c r="E11" i="2" s="1"/>
  <c r="E12" i="2" s="1"/>
  <c r="F10" i="2"/>
  <c r="G10" i="2"/>
  <c r="F11" i="2"/>
  <c r="G11" i="2"/>
  <c r="G12" i="2" s="1"/>
  <c r="F12" i="2"/>
  <c r="D11" i="3"/>
  <c r="G27" i="3" l="1"/>
  <c r="G26" i="3"/>
  <c r="G25" i="3"/>
  <c r="G24" i="3"/>
  <c r="E58" i="2"/>
  <c r="C29" i="2" l="1"/>
  <c r="F26" i="2"/>
  <c r="G26" i="2"/>
  <c r="D26" i="2"/>
  <c r="E25" i="2"/>
  <c r="F25" i="2"/>
  <c r="G25" i="2"/>
  <c r="D25" i="2"/>
  <c r="G24" i="2"/>
  <c r="F24" i="2"/>
  <c r="E24" i="2"/>
  <c r="D24" i="2"/>
  <c r="E26" i="2"/>
  <c r="C25" i="2"/>
  <c r="C28" i="2"/>
  <c r="C24" i="2"/>
  <c r="C26" i="2"/>
  <c r="E22" i="2" l="1"/>
  <c r="F22" i="2"/>
  <c r="G22" i="2"/>
  <c r="D22" i="2"/>
  <c r="C22" i="2"/>
  <c r="G27" i="2"/>
  <c r="F27" i="2"/>
  <c r="E27" i="2"/>
  <c r="C27" i="2"/>
  <c r="C23" i="2"/>
  <c r="G21" i="2"/>
  <c r="F21" i="2"/>
  <c r="E21" i="2"/>
  <c r="D21" i="2"/>
  <c r="C21" i="2"/>
  <c r="E25" i="3"/>
  <c r="E26" i="3"/>
  <c r="E27" i="3"/>
  <c r="E24" i="3"/>
  <c r="C33" i="2" l="1"/>
  <c r="C30" i="2"/>
  <c r="C31" i="2" s="1"/>
  <c r="F11" i="3" l="1"/>
  <c r="G11" i="3"/>
  <c r="H11" i="3"/>
  <c r="C25" i="3"/>
  <c r="C26" i="3"/>
  <c r="C27" i="3"/>
  <c r="C24" i="3"/>
  <c r="A25" i="3"/>
  <c r="A26" i="3" s="1"/>
  <c r="A27" i="3" s="1"/>
  <c r="A24" i="3"/>
  <c r="C3" i="2" l="1"/>
  <c r="C32" i="2"/>
  <c r="E11" i="3"/>
  <c r="D5" i="3"/>
  <c r="E5" i="3"/>
  <c r="F5" i="3"/>
  <c r="G5" i="3"/>
  <c r="H5" i="3"/>
  <c r="D6" i="3"/>
  <c r="E6" i="3"/>
  <c r="F6" i="3"/>
  <c r="G6" i="3"/>
  <c r="H6" i="3"/>
  <c r="D7" i="3"/>
  <c r="E7" i="3"/>
  <c r="F7" i="3"/>
  <c r="G7" i="3"/>
  <c r="H7" i="3"/>
  <c r="D8" i="3"/>
  <c r="E8" i="3"/>
  <c r="F8" i="3"/>
  <c r="G8" i="3"/>
  <c r="H8" i="3"/>
  <c r="D9" i="3"/>
  <c r="E9" i="3"/>
  <c r="F9" i="3"/>
  <c r="G9" i="3"/>
  <c r="H9" i="3"/>
  <c r="F4" i="3"/>
  <c r="G4" i="3"/>
  <c r="H4" i="3"/>
  <c r="E4" i="3"/>
  <c r="D4" i="3"/>
  <c r="D27" i="2" l="1"/>
  <c r="E10" i="3"/>
  <c r="F10" i="3"/>
  <c r="G10" i="3"/>
  <c r="H10" i="3"/>
  <c r="D10" i="3"/>
  <c r="G23" i="2" l="1"/>
  <c r="D23" i="2"/>
  <c r="F23" i="2"/>
  <c r="E23" i="2"/>
  <c r="F30" i="2" l="1"/>
  <c r="F33" i="2"/>
  <c r="G30" i="2"/>
  <c r="G33" i="2"/>
  <c r="E30" i="2"/>
  <c r="E33" i="2"/>
  <c r="D30" i="2"/>
  <c r="D33" i="2"/>
  <c r="E31" i="2" l="1"/>
  <c r="G31" i="2"/>
  <c r="F31" i="2"/>
  <c r="D31" i="2"/>
  <c r="G3" i="2" l="1"/>
  <c r="G32" i="2"/>
  <c r="F3" i="2"/>
  <c r="F32" i="2"/>
  <c r="E3" i="2"/>
  <c r="E32" i="2"/>
  <c r="D3" i="2"/>
  <c r="D32" i="2"/>
</calcChain>
</file>

<file path=xl/sharedStrings.xml><?xml version="1.0" encoding="utf-8"?>
<sst xmlns="http://schemas.openxmlformats.org/spreadsheetml/2006/main" count="71" uniqueCount="55">
  <si>
    <t>Kinnitatud baaseelarve</t>
  </si>
  <si>
    <t>VAHE, % baaseelarvest</t>
  </si>
  <si>
    <t>kehtiv hind alates 01.01.2026</t>
  </si>
  <si>
    <t>Igapäevaelu toetamise teenus</t>
  </si>
  <si>
    <t>Töötamise toetamise teenus</t>
  </si>
  <si>
    <t>Toetatud elamise teenus</t>
  </si>
  <si>
    <t>Kogukonnas elamise teenus</t>
  </si>
  <si>
    <t>Ööpäevaringne erihooldusteenus</t>
  </si>
  <si>
    <t>Ööpäevaringne erihooldusteenus (peremaja)</t>
  </si>
  <si>
    <t>Ööpäevaringne erihooldusteenus (6-ne peremaja)</t>
  </si>
  <si>
    <t>Ööpäevaringne erihooldusteenus äärmusliku abi-ja toetusvajadusega isikule</t>
  </si>
  <si>
    <t>Ööpäevaringne erihooldusteenus äärmusliku abi-ja toetusvajadusega isikule (peremaja)</t>
  </si>
  <si>
    <t>Ööpäevaringne erihooldusteenus äärmusliku abi-ja toetusvajadusega isikule  (6-ne peremaja)</t>
  </si>
  <si>
    <t>Ööpäevaringne erihooldusteenus ebastabiilse remissiooniga psüühikahäirega inimesele</t>
  </si>
  <si>
    <t>Ööpäevaringne erihooldusteenus ebastabiilse remissiooniga psüühikahäirega inimesele (peremaja)</t>
  </si>
  <si>
    <t>Ööpäevaringne erihooldusteenus ebastabiilse remissiooniga psüühikahäirega inimesele (6-ne peremaja)</t>
  </si>
  <si>
    <t>Ööpäevaringne erihooldusteenus kohtumääruse alusel</t>
  </si>
  <si>
    <t>Päeva- ja nädalahoiuteenus</t>
  </si>
  <si>
    <t>IET Päeva- ja nädalahoiuteenus (F71), odavam</t>
  </si>
  <si>
    <t>Igapäevaelu toetamise teenus (autistid)</t>
  </si>
  <si>
    <t>Ööpäevaringne erihooldusteenus (autistid)</t>
  </si>
  <si>
    <t>ÖEAUT koha loomise toetusmeede uue hinnaga, lisakulu</t>
  </si>
  <si>
    <t>KOKKU lisakulud</t>
  </si>
  <si>
    <t>ÖEAUT hind tõuseb alates 01.09.2026, lisakulu</t>
  </si>
  <si>
    <t>... 6 Valga kohta alates 01.09.2026</t>
  </si>
  <si>
    <t>... 12 AS HKT kohta, mis on  olemas enne 01.09.2026</t>
  </si>
  <si>
    <t>2026 MUUTUS</t>
  </si>
  <si>
    <t>2027 MUUTUS</t>
  </si>
  <si>
    <t>2028 MUUTUS</t>
  </si>
  <si>
    <t>2029 MUUTUS</t>
  </si>
  <si>
    <t>2030 MUUTUS</t>
  </si>
  <si>
    <t>KOKKU ERFiga seoses juurde vaja, eur</t>
  </si>
  <si>
    <t>Uus hind (lisandub 700 eur)</t>
  </si>
  <si>
    <t>VAHE kokku (baaseelarve-prognoos ERFita+lisatulu-lisakulud)</t>
  </si>
  <si>
    <t>20 KE koha vähendamine alates 01.09.2026, lisatulu</t>
  </si>
  <si>
    <t>Versioon A-C</t>
  </si>
  <si>
    <t>ERFita kulude prognoos (versioon A-C)</t>
  </si>
  <si>
    <t>Versioon D</t>
  </si>
  <si>
    <t>ERFita kulude prognoos (versioon D)</t>
  </si>
  <si>
    <t>6 ÖE-6 koha vähendamine alates 01.09.2026, lisatulu</t>
  </si>
  <si>
    <t>... 6 AS HKT kohta alates 01.09.2026</t>
  </si>
  <si>
    <t>3 kuud 95% loodava koha hinnast</t>
  </si>
  <si>
    <t>Versioon E</t>
  </si>
  <si>
    <t>ERFita kulude prognoos (versioon E)</t>
  </si>
  <si>
    <t>kui ära kasutada 20 KE koha raha ja 6 ÖE-6 koha raha, palju veel jääb ÖEAUT jaoks puudu (hinnatõus+toetusmeede)</t>
  </si>
  <si>
    <t>LISAKS MUUDATUSED PROGNOOSIS (ÖEAUT hind tõuseb alates 01.09.2026 ja 01.01.2027. 2026: 12 kohta 8 kuud ja 24 kohta 4 kuud, alates 01.01.2027 24 kohta)</t>
  </si>
  <si>
    <t>versioon E1</t>
  </si>
  <si>
    <t>Kulude prognoos lisakulude ja -tuludega</t>
  </si>
  <si>
    <t>TABEL 2. EHT kulude prognoos ja kinnitatud baaseelarve, 2026-2030 (ilma lisakulude ja -tuludeta)</t>
  </si>
  <si>
    <t>VERSIOON E1. Hind tõuseb 700 eur alates 01.09.2026 (uus hind 6683 eur), 2026.a luuakse 12 ÖEAUT kohta. KE 20 koha ja ÖE6 6 koha vähenemine ei kata 2026.a ÖEAUT hinnatõusu ja toetusmeetme kulusid, kuid katab 2027-2030 kulud.  2026.a jääk katab suures osas 2027.a puudujäägi (puudu jääb 17 000 eur), kui saab üle viia.</t>
  </si>
  <si>
    <t>Prognoos (25.06.2026), hind sama, mis alates 01.01.2026 (versioon E1)</t>
  </si>
  <si>
    <t>VAHE kokku (baaseelarve-prognoos ERFita), versioon E1</t>
  </si>
  <si>
    <t>TABEL 1. KOKKUVÕTE kulude prognoos</t>
  </si>
  <si>
    <t>Toetusmeede: 3 kuud makstav teenuse koha tasu Öeaut teenuse saaja eest teenusekoha esmakordsel täitmisel</t>
  </si>
  <si>
    <t>95% teenuse maksumusest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</si>
</sst>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\ "/>
    <numFmt numFmtId="165" formatCode="0.0%"/>
  </numFmts>
  <fonts count="6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8"/>
      <name val="Calibri"/>
      <family val="2"/>
      <charset val="186"/>
      <scheme val="minor"/>
    </font>
    <font>
      <b/>
      <i/>
      <sz val="11"/>
      <color theme="1" tint="0.34998626667073579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0" fillId="0" borderId="1" xfId="0" applyBorder="1"/>
    <xf numFmtId="3" fontId="0" fillId="0" borderId="1" xfId="0" applyNumberFormat="1" applyBorder="1"/>
    <xf numFmtId="164" fontId="0" fillId="0" borderId="0" xfId="0" applyNumberFormat="1"/>
    <xf numFmtId="165" fontId="0" fillId="0" borderId="1" xfId="0" applyNumberFormat="1" applyBorder="1"/>
    <xf numFmtId="0" fontId="0" fillId="0" borderId="2" xfId="0" applyBorder="1"/>
    <xf numFmtId="0" fontId="1" fillId="0" borderId="2" xfId="0" applyFont="1" applyBorder="1" applyAlignment="1">
      <alignment horizontal="center"/>
    </xf>
    <xf numFmtId="0" fontId="1" fillId="0" borderId="1" xfId="0" applyFont="1" applyFill="1" applyBorder="1"/>
    <xf numFmtId="2" fontId="0" fillId="0" borderId="3" xfId="0" applyNumberFormat="1" applyBorder="1" applyAlignment="1">
      <alignment wrapText="1"/>
    </xf>
    <xf numFmtId="2" fontId="0" fillId="0" borderId="1" xfId="0" applyNumberFormat="1" applyBorder="1" applyAlignment="1">
      <alignment wrapText="1"/>
    </xf>
    <xf numFmtId="164" fontId="1" fillId="0" borderId="1" xfId="0" applyNumberFormat="1" applyFont="1" applyBorder="1"/>
    <xf numFmtId="0" fontId="2" fillId="0" borderId="4" xfId="0" applyFont="1" applyBorder="1" applyAlignment="1">
      <alignment wrapText="1"/>
    </xf>
    <xf numFmtId="2" fontId="1" fillId="2" borderId="1" xfId="0" applyNumberFormat="1" applyFont="1" applyFill="1" applyBorder="1" applyAlignment="1">
      <alignment wrapText="1"/>
    </xf>
    <xf numFmtId="164" fontId="1" fillId="2" borderId="1" xfId="0" applyNumberFormat="1" applyFont="1" applyFill="1" applyBorder="1"/>
    <xf numFmtId="0" fontId="0" fillId="0" borderId="0" xfId="0" applyBorder="1"/>
    <xf numFmtId="0" fontId="1" fillId="0" borderId="0" xfId="0" applyFont="1" applyBorder="1"/>
    <xf numFmtId="3" fontId="0" fillId="0" borderId="0" xfId="0" applyNumberFormat="1" applyBorder="1"/>
    <xf numFmtId="164" fontId="0" fillId="0" borderId="3" xfId="0" applyNumberFormat="1" applyBorder="1"/>
    <xf numFmtId="0" fontId="4" fillId="0" borderId="3" xfId="0" applyFont="1" applyBorder="1"/>
    <xf numFmtId="3" fontId="4" fillId="0" borderId="3" xfId="0" applyNumberFormat="1" applyFont="1" applyBorder="1"/>
    <xf numFmtId="0" fontId="4" fillId="0" borderId="1" xfId="0" applyFont="1" applyBorder="1"/>
    <xf numFmtId="3" fontId="4" fillId="0" borderId="1" xfId="0" applyNumberFormat="1" applyFont="1" applyBorder="1"/>
    <xf numFmtId="3" fontId="0" fillId="0" borderId="0" xfId="0" applyNumberFormat="1"/>
    <xf numFmtId="0" fontId="1" fillId="0" borderId="0" xfId="0" applyFont="1"/>
    <xf numFmtId="3" fontId="1" fillId="0" borderId="0" xfId="0" applyNumberFormat="1" applyFont="1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2" fillId="0" borderId="4" xfId="0" applyFont="1" applyBorder="1"/>
    <xf numFmtId="0" fontId="0" fillId="0" borderId="4" xfId="0" applyBorder="1"/>
    <xf numFmtId="0" fontId="0" fillId="2" borderId="3" xfId="0" applyFill="1" applyBorder="1"/>
    <xf numFmtId="164" fontId="0" fillId="2" borderId="1" xfId="0" applyNumberFormat="1" applyFill="1" applyBorder="1"/>
    <xf numFmtId="2" fontId="0" fillId="2" borderId="1" xfId="0" applyNumberFormat="1" applyFill="1" applyBorder="1" applyAlignment="1">
      <alignment wrapText="1"/>
    </xf>
    <xf numFmtId="3" fontId="0" fillId="0" borderId="3" xfId="0" applyNumberFormat="1" applyBorder="1" applyAlignment="1">
      <alignment horizontal="right"/>
    </xf>
    <xf numFmtId="2" fontId="0" fillId="0" borderId="0" xfId="0" applyNumberFormat="1" applyBorder="1" applyAlignment="1">
      <alignment wrapText="1"/>
    </xf>
    <xf numFmtId="165" fontId="0" fillId="0" borderId="0" xfId="0" applyNumberFormat="1" applyBorder="1"/>
    <xf numFmtId="0" fontId="0" fillId="0" borderId="5" xfId="0" applyFill="1" applyBorder="1" applyAlignment="1">
      <alignment horizontal="center"/>
    </xf>
    <xf numFmtId="0" fontId="0" fillId="0" borderId="0" xfId="0" applyFill="1" applyBorder="1"/>
    <xf numFmtId="0" fontId="5" fillId="0" borderId="0" xfId="0" applyFont="1"/>
    <xf numFmtId="1" fontId="0" fillId="0" borderId="0" xfId="0" applyNumberFormat="1"/>
  </cellXfs>
  <cellStyles count="1"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EC222-A4DB-4B2E-BC57-8C8E9C5EFEEF}">
  <dimension ref="A1:L63"/>
  <sheetViews>
    <sheetView tabSelected="1" zoomScaleNormal="100" workbookViewId="0">
      <selection activeCell="A51" sqref="A51"/>
    </sheetView>
  </sheetViews>
  <sheetFormatPr defaultRowHeight="15" x14ac:dyDescent="0.25"/>
  <cols>
    <col min="1" max="1" width="48.85546875" customWidth="1"/>
    <col min="2" max="2" width="68" customWidth="1"/>
    <col min="3" max="3" width="24.42578125" customWidth="1"/>
    <col min="4" max="4" width="14" bestFit="1" customWidth="1"/>
    <col min="5" max="5" width="12.42578125" customWidth="1"/>
    <col min="6" max="6" width="11.42578125" customWidth="1"/>
    <col min="7" max="7" width="21.28515625" customWidth="1"/>
  </cols>
  <sheetData>
    <row r="1" spans="1:12" x14ac:dyDescent="0.25">
      <c r="A1" s="1" t="s">
        <v>52</v>
      </c>
    </row>
    <row r="2" spans="1:12" ht="15.75" thickBot="1" x14ac:dyDescent="0.3">
      <c r="A2" s="28"/>
      <c r="B2" s="29"/>
      <c r="C2" s="7">
        <v>2026</v>
      </c>
      <c r="D2" s="7">
        <v>2027</v>
      </c>
      <c r="E2" s="7">
        <v>2028</v>
      </c>
      <c r="F2" s="7">
        <v>2029</v>
      </c>
      <c r="G2" s="7">
        <v>2030</v>
      </c>
    </row>
    <row r="3" spans="1:12" ht="15.75" thickTop="1" x14ac:dyDescent="0.25">
      <c r="A3" s="30" t="s">
        <v>47</v>
      </c>
      <c r="B3" s="32" t="s">
        <v>46</v>
      </c>
      <c r="C3" s="31">
        <f>C31</f>
        <v>290166.58000000566</v>
      </c>
      <c r="D3" s="31">
        <f t="shared" ref="D3:G3" si="0">D31</f>
        <v>-307843.74000000209</v>
      </c>
      <c r="E3" s="31">
        <f t="shared" si="0"/>
        <v>-317843.74000000209</v>
      </c>
      <c r="F3" s="31">
        <f t="shared" si="0"/>
        <v>-2426848.5399999991</v>
      </c>
      <c r="G3" s="31">
        <f t="shared" si="0"/>
        <v>-2426848.5399999991</v>
      </c>
    </row>
    <row r="5" spans="1:12" x14ac:dyDescent="0.25">
      <c r="A5" s="1" t="s">
        <v>48</v>
      </c>
    </row>
    <row r="6" spans="1:12" x14ac:dyDescent="0.25">
      <c r="A6" s="37"/>
    </row>
    <row r="8" spans="1:12" ht="15.75" thickBot="1" x14ac:dyDescent="0.3">
      <c r="B8" s="6"/>
      <c r="C8" s="7">
        <v>2026</v>
      </c>
      <c r="D8" s="7">
        <v>2027</v>
      </c>
      <c r="E8" s="7">
        <v>2028</v>
      </c>
      <c r="F8" s="7">
        <v>2029</v>
      </c>
      <c r="G8" s="7">
        <v>2030</v>
      </c>
    </row>
    <row r="9" spans="1:12" ht="15.75" thickTop="1" x14ac:dyDescent="0.25">
      <c r="B9" s="9" t="s">
        <v>0</v>
      </c>
      <c r="C9" s="18">
        <v>57671297</v>
      </c>
      <c r="D9" s="18">
        <v>57671297</v>
      </c>
      <c r="E9" s="18">
        <v>57671297</v>
      </c>
      <c r="F9" s="18">
        <v>55007297</v>
      </c>
      <c r="G9" s="18">
        <v>55007297</v>
      </c>
    </row>
    <row r="10" spans="1:12" x14ac:dyDescent="0.25">
      <c r="B10" s="9" t="s">
        <v>50</v>
      </c>
      <c r="C10" s="33">
        <f>erf!F23</f>
        <v>57370998.419999994</v>
      </c>
      <c r="D10" s="33">
        <f>erf!G24</f>
        <v>58020564.740000002</v>
      </c>
      <c r="E10" s="33">
        <f>erf!G25</f>
        <v>58030564.740000002</v>
      </c>
      <c r="F10" s="33">
        <f>erf!G26</f>
        <v>57475569.539999999</v>
      </c>
      <c r="G10" s="33">
        <f>erf!G27</f>
        <v>57475569.539999999</v>
      </c>
      <c r="J10" s="4"/>
      <c r="K10" s="4"/>
      <c r="L10" s="4"/>
    </row>
    <row r="11" spans="1:12" x14ac:dyDescent="0.25">
      <c r="B11" s="13" t="s">
        <v>51</v>
      </c>
      <c r="C11" s="14">
        <f>C9-C10</f>
        <v>300298.58000000566</v>
      </c>
      <c r="D11" s="14">
        <f>D9-D10</f>
        <v>-349267.74000000209</v>
      </c>
      <c r="E11" s="14">
        <f>E9-E10</f>
        <v>-359267.74000000209</v>
      </c>
      <c r="F11" s="14">
        <f>F9-F10</f>
        <v>-2468272.5399999991</v>
      </c>
      <c r="G11" s="14">
        <f>G9-G10</f>
        <v>-2468272.5399999991</v>
      </c>
      <c r="J11" s="4"/>
      <c r="K11" s="4"/>
      <c r="L11" s="4"/>
    </row>
    <row r="12" spans="1:12" x14ac:dyDescent="0.25">
      <c r="B12" s="10" t="s">
        <v>1</v>
      </c>
      <c r="C12" s="5">
        <f>C11/C9</f>
        <v>5.2070717258189229E-3</v>
      </c>
      <c r="D12" s="5">
        <f>D11/D9</f>
        <v>-6.0561797318344004E-3</v>
      </c>
      <c r="E12" s="5">
        <f>E11/E9</f>
        <v>-6.2295762136232533E-3</v>
      </c>
      <c r="F12" s="5">
        <f>F11/F9</f>
        <v>-4.4871729290752081E-2</v>
      </c>
      <c r="G12" s="5">
        <f>G11/G9</f>
        <v>-4.4871729290752081E-2</v>
      </c>
      <c r="J12" s="4"/>
      <c r="K12" s="4"/>
      <c r="L12" s="4"/>
    </row>
    <row r="13" spans="1:12" x14ac:dyDescent="0.25">
      <c r="B13" s="34"/>
      <c r="C13" s="35"/>
      <c r="D13" s="35"/>
      <c r="E13" s="35"/>
      <c r="F13" s="35"/>
      <c r="G13" s="35"/>
      <c r="J13" s="4"/>
      <c r="K13" s="4"/>
      <c r="L13" s="4"/>
    </row>
    <row r="14" spans="1:12" x14ac:dyDescent="0.25">
      <c r="B14" s="34"/>
      <c r="C14" s="35"/>
      <c r="D14" s="35"/>
      <c r="E14" s="35"/>
      <c r="F14" s="35"/>
      <c r="G14" s="35"/>
      <c r="J14" s="4"/>
      <c r="K14" s="4"/>
      <c r="L14" s="4"/>
    </row>
    <row r="15" spans="1:12" x14ac:dyDescent="0.25">
      <c r="B15" s="34"/>
      <c r="C15" s="35"/>
      <c r="D15" s="35"/>
      <c r="E15" s="35"/>
      <c r="F15" s="35"/>
      <c r="G15" s="35"/>
      <c r="J15" s="4"/>
      <c r="K15" s="4"/>
      <c r="L15" s="4"/>
    </row>
    <row r="16" spans="1:12" x14ac:dyDescent="0.25">
      <c r="B16" s="34"/>
      <c r="C16" s="35"/>
      <c r="D16" s="35"/>
      <c r="E16" s="35"/>
      <c r="F16" s="35"/>
      <c r="G16" s="35"/>
      <c r="J16" s="4"/>
      <c r="K16" s="4"/>
      <c r="L16" s="4"/>
    </row>
    <row r="18" spans="1:11" x14ac:dyDescent="0.25">
      <c r="G18" s="15"/>
      <c r="H18" s="16"/>
      <c r="I18" s="16"/>
      <c r="J18" s="16"/>
      <c r="K18" s="16"/>
    </row>
    <row r="19" spans="1:11" x14ac:dyDescent="0.25">
      <c r="B19" s="38" t="s">
        <v>49</v>
      </c>
      <c r="D19" s="23"/>
      <c r="E19" s="23"/>
      <c r="F19" s="23"/>
      <c r="G19" s="23"/>
      <c r="I19" s="16"/>
      <c r="J19" s="16"/>
      <c r="K19" s="16"/>
    </row>
    <row r="20" spans="1:11" ht="45.75" thickBot="1" x14ac:dyDescent="0.3">
      <c r="B20" s="12" t="s">
        <v>45</v>
      </c>
      <c r="C20" s="7">
        <v>2026</v>
      </c>
      <c r="D20" s="7">
        <v>2027</v>
      </c>
      <c r="E20" s="7">
        <v>2028</v>
      </c>
      <c r="F20" s="7">
        <v>2029</v>
      </c>
      <c r="G20" s="7">
        <v>2030</v>
      </c>
      <c r="I20" s="16"/>
      <c r="J20" s="16"/>
      <c r="K20" s="16"/>
    </row>
    <row r="21" spans="1:11" ht="15.75" thickTop="1" x14ac:dyDescent="0.25">
      <c r="B21" s="19" t="s">
        <v>34</v>
      </c>
      <c r="C21" s="20">
        <f>20*4*$C$44</f>
        <v>54080</v>
      </c>
      <c r="D21" s="20">
        <f>20*12*$C$44</f>
        <v>162240</v>
      </c>
      <c r="E21" s="20">
        <f>20*12*$C$44</f>
        <v>162240</v>
      </c>
      <c r="F21" s="20">
        <f>20*12*$C$44</f>
        <v>162240</v>
      </c>
      <c r="G21" s="20">
        <f>20*12*$C$44</f>
        <v>162240</v>
      </c>
      <c r="I21" s="16"/>
      <c r="J21" s="16"/>
      <c r="K21" s="16"/>
    </row>
    <row r="22" spans="1:11" x14ac:dyDescent="0.25">
      <c r="B22" s="19" t="s">
        <v>39</v>
      </c>
      <c r="C22" s="20">
        <f>4*6*$C$47</f>
        <v>26928</v>
      </c>
      <c r="D22" s="20">
        <f>12*6*$C$47</f>
        <v>80784</v>
      </c>
      <c r="E22" s="20">
        <f>12*6*$C$47</f>
        <v>80784</v>
      </c>
      <c r="F22" s="20">
        <f>12*6*$C$47</f>
        <v>80784</v>
      </c>
      <c r="G22" s="20">
        <f>12*6*$C$47</f>
        <v>80784</v>
      </c>
      <c r="I22" s="16"/>
      <c r="J22" s="16"/>
      <c r="K22" s="16"/>
    </row>
    <row r="23" spans="1:11" x14ac:dyDescent="0.25">
      <c r="B23" s="21" t="s">
        <v>23</v>
      </c>
      <c r="C23" s="22">
        <f>SUM(C24:C26)</f>
        <v>-67200</v>
      </c>
      <c r="D23" s="22">
        <f>SUM(D24:D26)</f>
        <v>-201600</v>
      </c>
      <c r="E23" s="22">
        <f>SUM(E24:E26)</f>
        <v>-201600</v>
      </c>
      <c r="F23" s="22">
        <f>SUM(F24:F26)</f>
        <v>-201600</v>
      </c>
      <c r="G23" s="22">
        <f>SUM(G24:G26)</f>
        <v>-201600</v>
      </c>
      <c r="I23" s="16"/>
      <c r="J23" s="16"/>
      <c r="K23" s="16"/>
    </row>
    <row r="24" spans="1:11" x14ac:dyDescent="0.25">
      <c r="A24" s="36"/>
      <c r="B24" s="2" t="s">
        <v>25</v>
      </c>
      <c r="C24" s="3">
        <f>12*4*($C$58-$E$58)</f>
        <v>-33600</v>
      </c>
      <c r="D24" s="3">
        <f>12*12*($C$58-$E$58)</f>
        <v>-100800</v>
      </c>
      <c r="E24" s="3">
        <f>12*12*($C$58-$E$58)</f>
        <v>-100800</v>
      </c>
      <c r="F24" s="3">
        <f>12*12*($C$58-$E$58)</f>
        <v>-100800</v>
      </c>
      <c r="G24" s="3">
        <f>12*12*($C$58-$E$58)</f>
        <v>-100800</v>
      </c>
      <c r="I24" s="16"/>
      <c r="J24" s="16"/>
      <c r="K24" s="16"/>
    </row>
    <row r="25" spans="1:11" x14ac:dyDescent="0.25">
      <c r="A25" s="36"/>
      <c r="B25" s="2" t="s">
        <v>24</v>
      </c>
      <c r="C25" s="3">
        <f>4*6*($C$58-$E$58)</f>
        <v>-16800</v>
      </c>
      <c r="D25" s="3">
        <f>12*6*($C$58-$E$58)</f>
        <v>-50400</v>
      </c>
      <c r="E25" s="3">
        <f>12*6*($C$58-$E$58)</f>
        <v>-50400</v>
      </c>
      <c r="F25" s="3">
        <f>12*6*($C$58-$E$58)</f>
        <v>-50400</v>
      </c>
      <c r="G25" s="3">
        <f>12*6*($C$58-$E$58)</f>
        <v>-50400</v>
      </c>
      <c r="I25" s="16"/>
      <c r="J25" s="16"/>
      <c r="K25" s="16"/>
    </row>
    <row r="26" spans="1:11" x14ac:dyDescent="0.25">
      <c r="A26" s="36"/>
      <c r="B26" s="2" t="s">
        <v>40</v>
      </c>
      <c r="C26" s="3">
        <f>4*6*($C$58-$E$58)</f>
        <v>-16800</v>
      </c>
      <c r="D26" s="3">
        <f>12*6*($C$58-$E$58)</f>
        <v>-50400</v>
      </c>
      <c r="E26" s="3">
        <f>12*6*($C$58-$E$58)</f>
        <v>-50400</v>
      </c>
      <c r="F26" s="3">
        <f>12*6*($C$58-$E$58)</f>
        <v>-50400</v>
      </c>
      <c r="G26" s="3">
        <f>12*6*($C$58-$E$58)</f>
        <v>-50400</v>
      </c>
      <c r="I26" s="16"/>
      <c r="J26" s="16"/>
      <c r="K26" s="16"/>
    </row>
    <row r="27" spans="1:11" x14ac:dyDescent="0.25">
      <c r="B27" s="21" t="s">
        <v>21</v>
      </c>
      <c r="C27" s="22">
        <f>SUM(C28:C29)</f>
        <v>-23939.999999999996</v>
      </c>
      <c r="D27" s="22">
        <f>SUM(D28:D29)</f>
        <v>0</v>
      </c>
      <c r="E27" s="22">
        <f>SUM(E28:E29)</f>
        <v>0</v>
      </c>
      <c r="F27" s="22">
        <f>SUM(F28:F29)</f>
        <v>0</v>
      </c>
      <c r="G27" s="22">
        <f>SUM(G28:G29)</f>
        <v>0</v>
      </c>
      <c r="H27" t="s">
        <v>41</v>
      </c>
      <c r="I27" s="16"/>
      <c r="J27" s="16"/>
      <c r="K27" s="16"/>
    </row>
    <row r="28" spans="1:11" x14ac:dyDescent="0.25">
      <c r="B28" s="2" t="s">
        <v>24</v>
      </c>
      <c r="C28" s="3">
        <f>0.95*3*6*($C$58-$E$58)</f>
        <v>-11969.999999999998</v>
      </c>
      <c r="D28" s="3">
        <v>0</v>
      </c>
      <c r="E28" s="3">
        <v>0</v>
      </c>
      <c r="F28" s="3">
        <v>0</v>
      </c>
      <c r="G28" s="3">
        <v>0</v>
      </c>
      <c r="I28" s="16"/>
      <c r="J28" s="16"/>
      <c r="K28" s="16"/>
    </row>
    <row r="29" spans="1:11" x14ac:dyDescent="0.25">
      <c r="B29" s="2" t="s">
        <v>40</v>
      </c>
      <c r="C29" s="3">
        <f>0.95*3*6*($C$58-$E$58)</f>
        <v>-11969.999999999998</v>
      </c>
      <c r="D29" s="3">
        <v>0</v>
      </c>
      <c r="E29" s="3">
        <v>0</v>
      </c>
      <c r="F29" s="3">
        <v>0</v>
      </c>
      <c r="G29" s="3">
        <v>0</v>
      </c>
      <c r="I29" s="16"/>
      <c r="J29" s="16"/>
      <c r="K29" s="16"/>
    </row>
    <row r="30" spans="1:11" x14ac:dyDescent="0.25">
      <c r="B30" s="8" t="s">
        <v>22</v>
      </c>
      <c r="C30" s="11">
        <f>C21+C22+C23+C27</f>
        <v>-10131.999999999996</v>
      </c>
      <c r="D30" s="11">
        <f t="shared" ref="D30:G30" si="1">D21+D22+D23+D27</f>
        <v>41424</v>
      </c>
      <c r="E30" s="11">
        <f t="shared" si="1"/>
        <v>41424</v>
      </c>
      <c r="F30" s="11">
        <f t="shared" si="1"/>
        <v>41424</v>
      </c>
      <c r="G30" s="11">
        <f t="shared" si="1"/>
        <v>41424</v>
      </c>
      <c r="I30" s="16"/>
      <c r="J30" s="16"/>
      <c r="K30" s="16"/>
    </row>
    <row r="31" spans="1:11" x14ac:dyDescent="0.25">
      <c r="B31" s="13" t="s">
        <v>33</v>
      </c>
      <c r="C31" s="14">
        <f>C11+C30</f>
        <v>290166.58000000566</v>
      </c>
      <c r="D31" s="14">
        <f>D11+D30</f>
        <v>-307843.74000000209</v>
      </c>
      <c r="E31" s="14">
        <f>E11+E30</f>
        <v>-317843.74000000209</v>
      </c>
      <c r="F31" s="14">
        <f>F11+F30</f>
        <v>-2426848.5399999991</v>
      </c>
      <c r="G31" s="14">
        <f>G11+G30</f>
        <v>-2426848.5399999991</v>
      </c>
      <c r="I31" s="16"/>
      <c r="J31" s="16"/>
      <c r="K31" s="16"/>
    </row>
    <row r="32" spans="1:11" x14ac:dyDescent="0.25">
      <c r="B32" s="10" t="s">
        <v>1</v>
      </c>
      <c r="C32" s="5">
        <f>C31/C9</f>
        <v>5.0313864104704576E-3</v>
      </c>
      <c r="D32" s="5">
        <f>D31/D9</f>
        <v>-5.3379021456722584E-3</v>
      </c>
      <c r="E32" s="5">
        <f>E31/E9</f>
        <v>-5.5112986274611113E-3</v>
      </c>
      <c r="F32" s="5">
        <f>F31/F9</f>
        <v>-4.4118665565406695E-2</v>
      </c>
      <c r="G32" s="5">
        <f>G31/G9</f>
        <v>-4.4118665565406695E-2</v>
      </c>
      <c r="I32" s="16"/>
      <c r="J32" s="16"/>
      <c r="K32" s="16"/>
    </row>
    <row r="33" spans="2:11" ht="30" x14ac:dyDescent="0.25">
      <c r="B33" s="27" t="s">
        <v>44</v>
      </c>
      <c r="C33" s="23">
        <f>C21+C22+C23+C27</f>
        <v>-10131.999999999996</v>
      </c>
      <c r="D33" s="23">
        <f>D21+D22+D23+D27</f>
        <v>41424</v>
      </c>
      <c r="E33" s="23">
        <f>E21+E22+E23+E27</f>
        <v>41424</v>
      </c>
      <c r="F33" s="23">
        <f>F21+F22+F23+F27</f>
        <v>41424</v>
      </c>
      <c r="G33" s="23">
        <f>G21+G22+G23+G27</f>
        <v>41424</v>
      </c>
      <c r="I33" s="16"/>
      <c r="J33" s="16"/>
      <c r="K33" s="16"/>
    </row>
    <row r="34" spans="2:11" x14ac:dyDescent="0.25">
      <c r="G34" s="15"/>
      <c r="H34" s="16"/>
      <c r="I34" s="16"/>
      <c r="J34" s="16"/>
      <c r="K34" s="16"/>
    </row>
    <row r="35" spans="2:11" x14ac:dyDescent="0.25">
      <c r="G35" s="15"/>
      <c r="H35" s="16"/>
      <c r="I35" s="16"/>
      <c r="J35" s="16"/>
      <c r="K35" s="16"/>
    </row>
    <row r="36" spans="2:11" x14ac:dyDescent="0.25">
      <c r="E36" s="4"/>
      <c r="G36" s="15"/>
      <c r="H36" s="16"/>
      <c r="I36" s="16"/>
      <c r="J36" s="16"/>
      <c r="K36" s="16"/>
    </row>
    <row r="37" spans="2:11" x14ac:dyDescent="0.25">
      <c r="C37" s="4"/>
      <c r="D37" s="4"/>
      <c r="G37" s="15"/>
      <c r="H37" s="16"/>
      <c r="I37" s="16"/>
      <c r="J37" s="16"/>
      <c r="K37" s="16"/>
    </row>
    <row r="38" spans="2:11" x14ac:dyDescent="0.25">
      <c r="G38" s="15"/>
      <c r="H38" s="16"/>
      <c r="I38" s="16"/>
      <c r="J38" s="16"/>
      <c r="K38" s="16"/>
    </row>
    <row r="39" spans="2:11" x14ac:dyDescent="0.25">
      <c r="E39">
        <v>700</v>
      </c>
      <c r="G39" s="15"/>
      <c r="H39" s="16"/>
      <c r="I39" s="16"/>
      <c r="J39" s="16"/>
      <c r="K39" s="16"/>
    </row>
    <row r="40" spans="2:11" ht="45" x14ac:dyDescent="0.25">
      <c r="C40" s="26" t="s">
        <v>2</v>
      </c>
      <c r="D40" s="26"/>
      <c r="E40" s="26" t="s">
        <v>32</v>
      </c>
      <c r="F40" s="26"/>
      <c r="G40" s="26"/>
      <c r="H40" s="17"/>
      <c r="I40" s="17"/>
      <c r="J40" s="17"/>
      <c r="K40" s="17"/>
    </row>
    <row r="41" spans="2:11" x14ac:dyDescent="0.25">
      <c r="B41" t="s">
        <v>3</v>
      </c>
      <c r="C41">
        <v>219</v>
      </c>
    </row>
    <row r="42" spans="2:11" x14ac:dyDescent="0.25">
      <c r="B42" t="s">
        <v>4</v>
      </c>
      <c r="C42">
        <v>202</v>
      </c>
    </row>
    <row r="43" spans="2:11" x14ac:dyDescent="0.25">
      <c r="B43" t="s">
        <v>5</v>
      </c>
      <c r="C43">
        <v>317</v>
      </c>
    </row>
    <row r="44" spans="2:11" x14ac:dyDescent="0.25">
      <c r="B44" t="s">
        <v>6</v>
      </c>
      <c r="C44">
        <v>676</v>
      </c>
    </row>
    <row r="45" spans="2:11" x14ac:dyDescent="0.25">
      <c r="B45" t="s">
        <v>7</v>
      </c>
      <c r="C45">
        <v>878</v>
      </c>
    </row>
    <row r="46" spans="2:11" x14ac:dyDescent="0.25">
      <c r="B46" t="s">
        <v>8</v>
      </c>
      <c r="C46">
        <v>992</v>
      </c>
    </row>
    <row r="47" spans="2:11" x14ac:dyDescent="0.25">
      <c r="B47" t="s">
        <v>9</v>
      </c>
      <c r="C47">
        <v>1122</v>
      </c>
    </row>
    <row r="48" spans="2:11" x14ac:dyDescent="0.25">
      <c r="B48" t="s">
        <v>10</v>
      </c>
      <c r="C48">
        <v>1372</v>
      </c>
    </row>
    <row r="49" spans="1:5" x14ac:dyDescent="0.25">
      <c r="B49" t="s">
        <v>11</v>
      </c>
      <c r="C49">
        <v>1603</v>
      </c>
    </row>
    <row r="50" spans="1:5" x14ac:dyDescent="0.25">
      <c r="B50" t="s">
        <v>12</v>
      </c>
      <c r="C50">
        <v>1775</v>
      </c>
    </row>
    <row r="51" spans="1:5" x14ac:dyDescent="0.25">
      <c r="B51" t="s">
        <v>13</v>
      </c>
      <c r="C51">
        <v>1258</v>
      </c>
    </row>
    <row r="52" spans="1:5" x14ac:dyDescent="0.25">
      <c r="B52" t="s">
        <v>14</v>
      </c>
      <c r="C52">
        <v>1404</v>
      </c>
    </row>
    <row r="53" spans="1:5" x14ac:dyDescent="0.25">
      <c r="B53" t="s">
        <v>15</v>
      </c>
      <c r="C53">
        <v>1574</v>
      </c>
    </row>
    <row r="54" spans="1:5" x14ac:dyDescent="0.25">
      <c r="B54" t="s">
        <v>16</v>
      </c>
      <c r="C54">
        <v>2737</v>
      </c>
    </row>
    <row r="55" spans="1:5" x14ac:dyDescent="0.25">
      <c r="B55" t="s">
        <v>17</v>
      </c>
      <c r="C55">
        <v>1840</v>
      </c>
    </row>
    <row r="56" spans="1:5" x14ac:dyDescent="0.25">
      <c r="B56" t="s">
        <v>18</v>
      </c>
      <c r="C56">
        <v>0</v>
      </c>
    </row>
    <row r="57" spans="1:5" x14ac:dyDescent="0.25">
      <c r="B57" t="s">
        <v>19</v>
      </c>
      <c r="C57">
        <v>2058</v>
      </c>
    </row>
    <row r="58" spans="1:5" x14ac:dyDescent="0.25">
      <c r="B58" t="s">
        <v>20</v>
      </c>
      <c r="C58">
        <v>5983</v>
      </c>
      <c r="E58">
        <f>C58+E39</f>
        <v>6683</v>
      </c>
    </row>
    <row r="62" spans="1:5" x14ac:dyDescent="0.25">
      <c r="A62" s="1" t="s">
        <v>53</v>
      </c>
    </row>
    <row r="63" spans="1:5" x14ac:dyDescent="0.25">
      <c r="A63" t="s">
        <v>54</v>
      </c>
      <c r="B63" s="39">
        <f>E58+(95%*E58)</f>
        <v>13031.849999999999</v>
      </c>
    </row>
  </sheetData>
  <phoneticPr fontId="3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D9CBF-9B69-4758-8560-84EC317CAF02}">
  <dimension ref="A3:H27"/>
  <sheetViews>
    <sheetView workbookViewId="0">
      <selection activeCell="D12" sqref="D12"/>
    </sheetView>
  </sheetViews>
  <sheetFormatPr defaultRowHeight="15" x14ac:dyDescent="0.25"/>
  <cols>
    <col min="2" max="2" width="82.5703125" customWidth="1"/>
    <col min="3" max="3" width="28.28515625" customWidth="1"/>
    <col min="4" max="4" width="17.7109375" customWidth="1"/>
    <col min="5" max="5" width="13.7109375" customWidth="1"/>
    <col min="6" max="6" width="15.140625" customWidth="1"/>
    <col min="7" max="7" width="15.42578125" customWidth="1"/>
    <col min="8" max="8" width="15.5703125" customWidth="1"/>
  </cols>
  <sheetData>
    <row r="3" spans="2:8" x14ac:dyDescent="0.25">
      <c r="C3" t="s">
        <v>2</v>
      </c>
      <c r="D3" t="s">
        <v>26</v>
      </c>
      <c r="E3" t="s">
        <v>27</v>
      </c>
      <c r="F3" t="s">
        <v>28</v>
      </c>
      <c r="G3" t="s">
        <v>29</v>
      </c>
      <c r="H3" t="s">
        <v>30</v>
      </c>
    </row>
    <row r="4" spans="2:8" x14ac:dyDescent="0.25">
      <c r="B4" t="s">
        <v>7</v>
      </c>
      <c r="C4">
        <v>878</v>
      </c>
      <c r="D4" s="23">
        <f>D13*$C4</f>
        <v>-147504</v>
      </c>
      <c r="E4" s="23">
        <f>E13*$C4</f>
        <v>-252864</v>
      </c>
      <c r="F4" s="23">
        <f t="shared" ref="F4:H4" si="0">F13*$C4</f>
        <v>-842880</v>
      </c>
      <c r="G4" s="23">
        <f t="shared" si="0"/>
        <v>-1782340</v>
      </c>
      <c r="H4" s="23">
        <f t="shared" si="0"/>
        <v>-1782340</v>
      </c>
    </row>
    <row r="5" spans="2:8" x14ac:dyDescent="0.25">
      <c r="B5" t="s">
        <v>9</v>
      </c>
      <c r="C5">
        <v>1122</v>
      </c>
      <c r="D5" s="23">
        <f t="shared" ref="D5:H5" si="1">D14*$C5</f>
        <v>188496</v>
      </c>
      <c r="E5" s="23">
        <f t="shared" si="1"/>
        <v>323136</v>
      </c>
      <c r="F5" s="23">
        <f t="shared" si="1"/>
        <v>1077120</v>
      </c>
      <c r="G5" s="23">
        <f t="shared" si="1"/>
        <v>2261952</v>
      </c>
      <c r="H5" s="23">
        <f t="shared" si="1"/>
        <v>2261952</v>
      </c>
    </row>
    <row r="6" spans="2:8" x14ac:dyDescent="0.25">
      <c r="B6" t="s">
        <v>10</v>
      </c>
      <c r="C6">
        <v>1372</v>
      </c>
      <c r="D6" s="23">
        <f t="shared" ref="D6:H6" si="2">D15*$C6</f>
        <v>-94668</v>
      </c>
      <c r="E6" s="23">
        <f t="shared" si="2"/>
        <v>-378672</v>
      </c>
      <c r="F6" s="23">
        <f t="shared" si="2"/>
        <v>-773808</v>
      </c>
      <c r="G6" s="23">
        <f t="shared" si="2"/>
        <v>-974120</v>
      </c>
      <c r="H6" s="23">
        <f t="shared" si="2"/>
        <v>-974120</v>
      </c>
    </row>
    <row r="7" spans="2:8" x14ac:dyDescent="0.25">
      <c r="B7" t="s">
        <v>12</v>
      </c>
      <c r="C7">
        <v>1775</v>
      </c>
      <c r="D7" s="23">
        <f t="shared" ref="D7:H7" si="3">D16*$C7</f>
        <v>127800</v>
      </c>
      <c r="E7" s="23">
        <f t="shared" si="3"/>
        <v>511200</v>
      </c>
      <c r="F7" s="23">
        <f t="shared" si="3"/>
        <v>1022400</v>
      </c>
      <c r="G7" s="23">
        <f t="shared" si="3"/>
        <v>1299300</v>
      </c>
      <c r="H7" s="23">
        <f t="shared" si="3"/>
        <v>1299300</v>
      </c>
    </row>
    <row r="8" spans="2:8" x14ac:dyDescent="0.25">
      <c r="B8" t="s">
        <v>13</v>
      </c>
      <c r="C8">
        <v>1258</v>
      </c>
      <c r="D8" s="23">
        <f t="shared" ref="D8:H8" si="4">D17*$C8</f>
        <v>-18870</v>
      </c>
      <c r="E8" s="23">
        <f t="shared" si="4"/>
        <v>-75480</v>
      </c>
      <c r="F8" s="23">
        <f t="shared" si="4"/>
        <v>-75480</v>
      </c>
      <c r="G8" s="23">
        <f t="shared" si="4"/>
        <v>-528360</v>
      </c>
      <c r="H8" s="23">
        <f t="shared" si="4"/>
        <v>-528360</v>
      </c>
    </row>
    <row r="9" spans="2:8" x14ac:dyDescent="0.25">
      <c r="B9" t="s">
        <v>15</v>
      </c>
      <c r="C9">
        <v>1574</v>
      </c>
      <c r="D9" s="23">
        <f t="shared" ref="D9:H9" si="5">D18*$C9</f>
        <v>23610</v>
      </c>
      <c r="E9" s="23">
        <f t="shared" si="5"/>
        <v>94440</v>
      </c>
      <c r="F9" s="23">
        <f t="shared" si="5"/>
        <v>94440</v>
      </c>
      <c r="G9" s="23">
        <f t="shared" si="5"/>
        <v>661080</v>
      </c>
      <c r="H9" s="23">
        <f t="shared" si="5"/>
        <v>661080</v>
      </c>
    </row>
    <row r="10" spans="2:8" x14ac:dyDescent="0.25">
      <c r="B10" s="24" t="s">
        <v>31</v>
      </c>
      <c r="C10" s="24"/>
      <c r="D10" s="25">
        <f>SUM(D4:D9)</f>
        <v>78864</v>
      </c>
      <c r="E10" s="25">
        <f t="shared" ref="E10:H10" si="6">SUM(E4:E9)</f>
        <v>221760</v>
      </c>
      <c r="F10" s="25">
        <f t="shared" si="6"/>
        <v>501792</v>
      </c>
      <c r="G10" s="25">
        <f t="shared" si="6"/>
        <v>937512</v>
      </c>
      <c r="H10" s="25">
        <f t="shared" si="6"/>
        <v>937512</v>
      </c>
    </row>
    <row r="11" spans="2:8" x14ac:dyDescent="0.25">
      <c r="D11" s="23">
        <f>-1*D10</f>
        <v>-78864</v>
      </c>
      <c r="E11" s="23">
        <f>-1*E10</f>
        <v>-221760</v>
      </c>
      <c r="F11" s="23">
        <f t="shared" ref="F11:H11" si="7">-1*F10</f>
        <v>-501792</v>
      </c>
      <c r="G11" s="23">
        <f t="shared" si="7"/>
        <v>-937512</v>
      </c>
      <c r="H11" s="23">
        <f t="shared" si="7"/>
        <v>-937512</v>
      </c>
    </row>
    <row r="13" spans="2:8" x14ac:dyDescent="0.25">
      <c r="B13" t="s">
        <v>7</v>
      </c>
      <c r="D13">
        <v>-168</v>
      </c>
      <c r="E13">
        <v>-288</v>
      </c>
      <c r="F13">
        <v>-960</v>
      </c>
      <c r="G13">
        <v>-2030</v>
      </c>
      <c r="H13">
        <v>-2030</v>
      </c>
    </row>
    <row r="14" spans="2:8" x14ac:dyDescent="0.25">
      <c r="B14" t="s">
        <v>9</v>
      </c>
      <c r="D14">
        <v>168</v>
      </c>
      <c r="E14">
        <v>288</v>
      </c>
      <c r="F14">
        <v>960</v>
      </c>
      <c r="G14">
        <v>2016</v>
      </c>
      <c r="H14">
        <v>2016</v>
      </c>
    </row>
    <row r="15" spans="2:8" x14ac:dyDescent="0.25">
      <c r="B15" t="s">
        <v>10</v>
      </c>
      <c r="D15">
        <v>-69</v>
      </c>
      <c r="E15">
        <v>-276</v>
      </c>
      <c r="F15">
        <v>-564</v>
      </c>
      <c r="G15">
        <v>-710</v>
      </c>
      <c r="H15">
        <v>-710</v>
      </c>
    </row>
    <row r="16" spans="2:8" x14ac:dyDescent="0.25">
      <c r="B16" t="s">
        <v>12</v>
      </c>
      <c r="D16">
        <v>72</v>
      </c>
      <c r="E16">
        <v>288</v>
      </c>
      <c r="F16">
        <v>576</v>
      </c>
      <c r="G16">
        <v>732</v>
      </c>
      <c r="H16">
        <v>732</v>
      </c>
    </row>
    <row r="17" spans="1:8" x14ac:dyDescent="0.25">
      <c r="B17" t="s">
        <v>13</v>
      </c>
      <c r="D17">
        <v>-15</v>
      </c>
      <c r="E17">
        <v>-60</v>
      </c>
      <c r="F17">
        <v>-60</v>
      </c>
      <c r="G17">
        <v>-420</v>
      </c>
      <c r="H17">
        <v>-420</v>
      </c>
    </row>
    <row r="18" spans="1:8" x14ac:dyDescent="0.25">
      <c r="B18" t="s">
        <v>15</v>
      </c>
      <c r="D18">
        <v>15</v>
      </c>
      <c r="E18">
        <v>60</v>
      </c>
      <c r="F18">
        <v>60</v>
      </c>
      <c r="G18">
        <v>420</v>
      </c>
      <c r="H18">
        <v>420</v>
      </c>
    </row>
    <row r="20" spans="1:8" x14ac:dyDescent="0.25">
      <c r="E20" s="23"/>
      <c r="F20" s="23"/>
      <c r="G20" s="23"/>
      <c r="H20" s="23"/>
    </row>
    <row r="21" spans="1:8" x14ac:dyDescent="0.25">
      <c r="E21" s="23"/>
    </row>
    <row r="22" spans="1:8" ht="45" x14ac:dyDescent="0.25">
      <c r="B22" t="s">
        <v>35</v>
      </c>
      <c r="C22" s="26" t="s">
        <v>36</v>
      </c>
      <c r="D22" s="26" t="s">
        <v>37</v>
      </c>
      <c r="E22" s="26" t="s">
        <v>38</v>
      </c>
      <c r="F22" s="26" t="s">
        <v>42</v>
      </c>
      <c r="G22" s="26" t="s">
        <v>43</v>
      </c>
    </row>
    <row r="23" spans="1:8" x14ac:dyDescent="0.25">
      <c r="A23">
        <v>2026</v>
      </c>
      <c r="B23" s="23">
        <v>57151486.559999995</v>
      </c>
      <c r="F23" s="23">
        <v>57370998.419999994</v>
      </c>
    </row>
    <row r="24" spans="1:8" x14ac:dyDescent="0.25">
      <c r="A24">
        <f>1+A23</f>
        <v>2027</v>
      </c>
      <c r="B24" s="23">
        <v>58244312.359999992</v>
      </c>
      <c r="C24" s="23">
        <f>B24-$E$10</f>
        <v>58022552.359999992</v>
      </c>
      <c r="D24" s="23">
        <v>58136618.359999992</v>
      </c>
      <c r="E24" s="23">
        <f>D24-$E$10</f>
        <v>57914858.359999992</v>
      </c>
      <c r="F24" s="23">
        <v>58242324.740000002</v>
      </c>
      <c r="G24" s="23">
        <f>F24-$E$10</f>
        <v>58020564.740000002</v>
      </c>
    </row>
    <row r="25" spans="1:8" x14ac:dyDescent="0.25">
      <c r="A25">
        <f t="shared" ref="A25:A27" si="8">1+A24</f>
        <v>2028</v>
      </c>
      <c r="B25" s="23">
        <v>58331493.059999995</v>
      </c>
      <c r="C25" s="23">
        <f t="shared" ref="C25:C27" si="9">B25-$E$10</f>
        <v>58109733.059999995</v>
      </c>
      <c r="D25" s="23">
        <v>58331493.059999995</v>
      </c>
      <c r="E25" s="23">
        <f t="shared" ref="E25:E27" si="10">D25-$E$10</f>
        <v>58109733.059999995</v>
      </c>
      <c r="F25" s="23">
        <v>58252324.740000002</v>
      </c>
      <c r="G25" s="23">
        <f t="shared" ref="G25:G27" si="11">F25-$E$10</f>
        <v>58030564.740000002</v>
      </c>
    </row>
    <row r="26" spans="1:8" x14ac:dyDescent="0.25">
      <c r="A26">
        <f t="shared" si="8"/>
        <v>2029</v>
      </c>
      <c r="B26" s="23">
        <v>57776497.859999992</v>
      </c>
      <c r="C26" s="23">
        <f t="shared" si="9"/>
        <v>57554737.859999992</v>
      </c>
      <c r="D26" s="23">
        <v>57776497.859999992</v>
      </c>
      <c r="E26" s="23">
        <f t="shared" si="10"/>
        <v>57554737.859999992</v>
      </c>
      <c r="F26" s="23">
        <v>57697329.539999999</v>
      </c>
      <c r="G26" s="23">
        <f t="shared" si="11"/>
        <v>57475569.539999999</v>
      </c>
    </row>
    <row r="27" spans="1:8" x14ac:dyDescent="0.25">
      <c r="A27">
        <f t="shared" si="8"/>
        <v>2030</v>
      </c>
      <c r="B27" s="23">
        <v>57776497.859999992</v>
      </c>
      <c r="C27" s="23">
        <f t="shared" si="9"/>
        <v>57554737.859999992</v>
      </c>
      <c r="D27" s="23">
        <v>57776497.859999992</v>
      </c>
      <c r="E27" s="23">
        <f t="shared" si="10"/>
        <v>57554737.859999992</v>
      </c>
      <c r="F27" s="23">
        <v>57697329.539999999</v>
      </c>
      <c r="G27" s="23">
        <f t="shared" si="11"/>
        <v>57475569.539999999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2</vt:i4>
      </vt:variant>
    </vt:vector>
  </HeadingPairs>
  <TitlesOfParts>
    <vt:vector size="2" baseType="lpstr">
      <vt:lpstr>tulemus</vt:lpstr>
      <vt:lpstr>erf</vt:lpstr>
    </vt:vector>
  </TitlesOfParts>
  <Company>TEHIK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 Karelson</dc:creator>
  <cp:lastModifiedBy>Lagle Kalberg</cp:lastModifiedBy>
  <dcterms:created xsi:type="dcterms:W3CDTF">2026-06-19T11:58:28Z</dcterms:created>
  <dcterms:modified xsi:type="dcterms:W3CDTF">2026-07-28T10:59:22Z</dcterms:modified>
</cp:coreProperties>
</file>